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15" windowWidth="12120" windowHeight="7755"/>
  </bookViews>
  <sheets>
    <sheet name="приклад" sheetId="1" r:id="rId1"/>
  </sheets>
  <calcPr calcId="114210"/>
</workbook>
</file>

<file path=xl/calcChain.xml><?xml version="1.0" encoding="utf-8"?>
<calcChain xmlns="http://schemas.openxmlformats.org/spreadsheetml/2006/main">
  <c r="E11" i="1"/>
  <c r="E3"/>
  <c r="E4"/>
  <c r="F4"/>
  <c r="G4"/>
  <c r="J4"/>
  <c r="K4"/>
  <c r="E5"/>
  <c r="F5"/>
  <c r="G5"/>
  <c r="K5"/>
  <c r="J5"/>
  <c r="E6"/>
  <c r="F6"/>
  <c r="J6"/>
  <c r="E7"/>
  <c r="F7"/>
  <c r="J7"/>
  <c r="E8"/>
  <c r="F8"/>
  <c r="J8"/>
  <c r="E9"/>
  <c r="F9"/>
  <c r="J9"/>
  <c r="E10"/>
  <c r="F10"/>
  <c r="J10"/>
  <c r="F11"/>
  <c r="J11"/>
  <c r="E12"/>
  <c r="F12"/>
  <c r="J12"/>
  <c r="E13"/>
  <c r="F13"/>
  <c r="J13"/>
  <c r="E14"/>
  <c r="F14"/>
  <c r="J14"/>
  <c r="E15"/>
  <c r="F15"/>
  <c r="J15"/>
  <c r="E16"/>
  <c r="F16"/>
  <c r="J16"/>
  <c r="E17"/>
  <c r="F17"/>
  <c r="J17"/>
  <c r="E18"/>
  <c r="F18"/>
  <c r="J18"/>
  <c r="E19"/>
  <c r="F19"/>
  <c r="J19"/>
  <c r="E20"/>
  <c r="F20"/>
  <c r="J20"/>
  <c r="E21"/>
  <c r="F21"/>
  <c r="J21"/>
  <c r="E22"/>
  <c r="F22"/>
  <c r="J22"/>
  <c r="E23"/>
  <c r="F23"/>
  <c r="J23"/>
  <c r="G6"/>
  <c r="G7"/>
  <c r="K6"/>
  <c r="K7"/>
  <c r="G8"/>
  <c r="G9"/>
  <c r="K8"/>
  <c r="K9"/>
  <c r="G10"/>
  <c r="H11"/>
  <c r="G11"/>
  <c r="K10"/>
  <c r="G12"/>
  <c r="K11"/>
  <c r="K12"/>
  <c r="G13"/>
  <c r="G14"/>
  <c r="K13"/>
  <c r="K14"/>
  <c r="G15"/>
  <c r="G16"/>
  <c r="K15"/>
  <c r="K16"/>
  <c r="G17"/>
  <c r="G18"/>
  <c r="K17"/>
  <c r="K18"/>
  <c r="G19"/>
  <c r="G20"/>
  <c r="K19"/>
  <c r="K20"/>
  <c r="G21"/>
  <c r="G22"/>
  <c r="K21"/>
  <c r="K22"/>
  <c r="G23"/>
  <c r="K23"/>
</calcChain>
</file>

<file path=xl/sharedStrings.xml><?xml version="1.0" encoding="utf-8"?>
<sst xmlns="http://schemas.openxmlformats.org/spreadsheetml/2006/main" count="11" uniqueCount="11">
  <si>
    <t>Індекс прибутковості</t>
  </si>
  <si>
    <t>Внутрішня норма доходності</t>
  </si>
  <si>
    <t>Дисконт. період окупності</t>
  </si>
  <si>
    <t>Сумарний дисконт. річний ЕЕ</t>
  </si>
  <si>
    <t>Дисконт. річний ЕЕ</t>
  </si>
  <si>
    <t>Чиста приведена вартість</t>
  </si>
  <si>
    <t xml:space="preserve">Річний ЕЕ (після впровадження) </t>
  </si>
  <si>
    <t>Інвестиційні витрати              ( за всі роки)</t>
  </si>
  <si>
    <t>Роки</t>
  </si>
  <si>
    <t>Оцінка економічної ефективності інвестиційної програми</t>
  </si>
  <si>
    <t>Ставка дисконтування          (стала величина)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</si>
</sst>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1" fillId="0" borderId="6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6" fillId="0" borderId="0" xfId="0" applyFont="1"/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9" fontId="7" fillId="3" borderId="5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8" fillId="4" borderId="5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2" fillId="4" borderId="0" xfId="0" applyFont="1" applyFill="1"/>
    <xf numFmtId="0" fontId="1" fillId="0" borderId="0" xfId="0" applyFont="1"/>
    <xf numFmtId="165" fontId="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Normal="100" workbookViewId="0">
      <selection activeCell="C3" sqref="C3"/>
    </sheetView>
  </sheetViews>
  <sheetFormatPr defaultRowHeight="15.75"/>
  <cols>
    <col min="1" max="1" width="9.140625" style="1"/>
    <col min="2" max="2" width="11.85546875" style="1" customWidth="1"/>
    <col min="3" max="3" width="19" style="1" customWidth="1"/>
    <col min="4" max="4" width="9.28515625" style="1" customWidth="1"/>
    <col min="5" max="5" width="13.42578125" style="1" customWidth="1"/>
    <col min="6" max="6" width="12.85546875" style="1" customWidth="1"/>
    <col min="7" max="7" width="14.5703125" style="1" customWidth="1"/>
    <col min="8" max="8" width="11.28515625" style="1" customWidth="1"/>
    <col min="9" max="9" width="12" style="1" customWidth="1"/>
    <col min="10" max="10" width="15.140625" style="1" customWidth="1"/>
    <col min="11" max="11" width="10" style="1" customWidth="1"/>
    <col min="12" max="12" width="9.140625" style="1"/>
    <col min="13" max="13" width="51.85546875" style="1" customWidth="1"/>
    <col min="14" max="14" width="36.5703125" style="1" customWidth="1"/>
    <col min="15" max="15" width="9.140625" style="1"/>
    <col min="16" max="16" width="62.7109375" style="1" customWidth="1"/>
    <col min="17" max="17" width="39.140625" style="1" customWidth="1"/>
    <col min="18" max="16384" width="9.140625" style="1"/>
  </cols>
  <sheetData>
    <row r="1" spans="1:17" ht="90.75" customHeight="1" thickBot="1">
      <c r="A1" s="53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7" ht="95.25" thickBot="1">
      <c r="A2" s="2" t="s">
        <v>8</v>
      </c>
      <c r="B2" s="3" t="s">
        <v>7</v>
      </c>
      <c r="C2" s="3" t="s">
        <v>6</v>
      </c>
      <c r="D2" s="3" t="s">
        <v>10</v>
      </c>
      <c r="E2" s="4" t="s">
        <v>5</v>
      </c>
      <c r="F2" s="4" t="s">
        <v>4</v>
      </c>
      <c r="G2" s="4" t="s">
        <v>3</v>
      </c>
      <c r="H2" s="4" t="s">
        <v>2</v>
      </c>
      <c r="I2" s="5"/>
      <c r="J2" s="4" t="s">
        <v>1</v>
      </c>
      <c r="K2" s="6" t="s">
        <v>0</v>
      </c>
    </row>
    <row r="3" spans="1:17" ht="43.5" customHeight="1">
      <c r="A3" s="7">
        <v>1</v>
      </c>
      <c r="B3" s="8">
        <v>2414.27</v>
      </c>
      <c r="C3" s="51">
        <v>464.95600000000002</v>
      </c>
      <c r="D3" s="52">
        <v>0.125</v>
      </c>
      <c r="E3" s="9">
        <f>B3/(1+D3)</f>
        <v>2146.0177777777776</v>
      </c>
      <c r="F3" s="8"/>
      <c r="G3" s="8"/>
      <c r="H3" s="8"/>
      <c r="I3" s="10">
        <v>-3866.1610000000001</v>
      </c>
      <c r="J3" s="8"/>
      <c r="K3" s="11"/>
      <c r="O3" s="12"/>
      <c r="P3" s="55"/>
      <c r="Q3" s="55"/>
    </row>
    <row r="4" spans="1:17">
      <c r="A4" s="13">
        <v>2</v>
      </c>
      <c r="B4" s="10"/>
      <c r="C4" s="10"/>
      <c r="D4" s="10"/>
      <c r="E4" s="14">
        <f>-B3/(1+D3)^1+C3/(1+D3)</f>
        <v>-1732.7235555555553</v>
      </c>
      <c r="F4" s="14">
        <f>C3/( 1+D3)^1</f>
        <v>413.29422222222223</v>
      </c>
      <c r="G4" s="14">
        <f>C3/( 1+D3)^1</f>
        <v>413.29422222222223</v>
      </c>
      <c r="H4" s="10"/>
      <c r="I4" s="10">
        <v>633.61800000000005</v>
      </c>
      <c r="J4" s="15">
        <f>IRR(I3:I4)</f>
        <v>-0.83611184324708665</v>
      </c>
      <c r="K4" s="16">
        <f>G4/E3</f>
        <v>0.19258657896589862</v>
      </c>
      <c r="O4" s="12"/>
      <c r="P4" s="17"/>
      <c r="Q4" s="18"/>
    </row>
    <row r="5" spans="1:17">
      <c r="A5" s="13">
        <v>3</v>
      </c>
      <c r="B5" s="10"/>
      <c r="C5" s="10"/>
      <c r="D5" s="10"/>
      <c r="E5" s="14">
        <f>-B3/(1+D3)^1+C3/(1+D3)+C3/( 1+D3)^2</f>
        <v>-1365.3509135802467</v>
      </c>
      <c r="F5" s="14">
        <f>C3/(1+D3)^2</f>
        <v>367.37264197530868</v>
      </c>
      <c r="G5" s="14">
        <f t="shared" ref="G5:G23" si="0">G4+F5</f>
        <v>780.66686419753091</v>
      </c>
      <c r="H5" s="10"/>
      <c r="I5" s="10">
        <v>633.61800000000005</v>
      </c>
      <c r="J5" s="15">
        <f>IRR(I3:I5)</f>
        <v>-0.50501477508499293</v>
      </c>
      <c r="K5" s="16">
        <f>G5/E3</f>
        <v>0.36377464915780849</v>
      </c>
      <c r="O5" s="12"/>
      <c r="P5" s="17"/>
      <c r="Q5" s="19"/>
    </row>
    <row r="6" spans="1:17">
      <c r="A6" s="13">
        <v>4</v>
      </c>
      <c r="B6" s="10"/>
      <c r="C6" s="10"/>
      <c r="D6" s="10"/>
      <c r="E6" s="14">
        <f>-B3/(1+D3)^1+C3/(1+D3)+C3/( 1+D3)^2+C3/(1+D3)^3</f>
        <v>-1038.7974540466389</v>
      </c>
      <c r="F6" s="14">
        <f>C3/(1+D3)^3</f>
        <v>326.55345953360768</v>
      </c>
      <c r="G6" s="14">
        <f t="shared" si="0"/>
        <v>1107.2203237311387</v>
      </c>
      <c r="H6" s="10"/>
      <c r="I6" s="10">
        <v>633.61800000000005</v>
      </c>
      <c r="J6" s="15">
        <f>IRR(I3:I6)</f>
        <v>-0.28559419285940713</v>
      </c>
      <c r="K6" s="16">
        <f>G6/E3</f>
        <v>0.5159418226617285</v>
      </c>
      <c r="O6" s="12"/>
      <c r="P6" s="17"/>
      <c r="Q6" s="18"/>
    </row>
    <row r="7" spans="1:17">
      <c r="A7" s="13">
        <v>5</v>
      </c>
      <c r="B7" s="10"/>
      <c r="C7" s="10"/>
      <c r="D7" s="10"/>
      <c r="E7" s="14">
        <f>-B3/(1+D3)^1+C3/(1+D3)+ C3/(1+D3)^2+C3/(1+D3)^3+ C3/(1+D3)^4</f>
        <v>-748.52771223898765</v>
      </c>
      <c r="F7" s="14">
        <f>C3/(1+D3)^4</f>
        <v>290.26974180765126</v>
      </c>
      <c r="G7" s="14">
        <f t="shared" si="0"/>
        <v>1397.4900655387901</v>
      </c>
      <c r="H7" s="10"/>
      <c r="I7" s="10">
        <v>633.61800000000005</v>
      </c>
      <c r="J7" s="15">
        <f>IRR(I3:I7)</f>
        <v>-0.1498530442407745</v>
      </c>
      <c r="K7" s="16">
        <f>G7/E3</f>
        <v>0.65120153244299062</v>
      </c>
      <c r="O7" s="12"/>
      <c r="P7" s="17"/>
      <c r="Q7" s="18"/>
    </row>
    <row r="8" spans="1:17">
      <c r="A8" s="13">
        <v>6</v>
      </c>
      <c r="B8" s="10"/>
      <c r="C8" s="10"/>
      <c r="D8" s="10"/>
      <c r="E8" s="14">
        <f>-B3/(1+D3)^1+C3/(1+D3)+ C3/(1+D3)^2+C3/(1+D3)^3+C3/(1+D3)^4+C3/(1+D3)^5</f>
        <v>-490.51016396551984</v>
      </c>
      <c r="F8" s="14">
        <f>C3/(1+D3)^5</f>
        <v>258.01754827346781</v>
      </c>
      <c r="G8" s="14">
        <f t="shared" si="0"/>
        <v>1655.5076138122579</v>
      </c>
      <c r="H8" s="10"/>
      <c r="I8" s="10">
        <v>633.61800000000005</v>
      </c>
      <c r="J8" s="15">
        <f>IRR(I3:I8)</f>
        <v>-6.2906189412873847E-2</v>
      </c>
      <c r="K8" s="16">
        <f>G8/E3</f>
        <v>0.77143238558189031</v>
      </c>
    </row>
    <row r="9" spans="1:17" s="25" customFormat="1">
      <c r="A9" s="20">
        <v>7</v>
      </c>
      <c r="B9" s="21"/>
      <c r="C9" s="21"/>
      <c r="D9" s="21"/>
      <c r="E9" s="22">
        <f>-B3/(1+D3)^1+C3/(1+D3)+ C3/(1+D3)^2+C3/(1+D3)^3+ C3/(1+D3)^4+C3/(1+D3)^5+C3/(1+D3)^6</f>
        <v>-261.16123216688175</v>
      </c>
      <c r="F9" s="22">
        <f>C3/(1+D3)^6</f>
        <v>229.34893179863806</v>
      </c>
      <c r="G9" s="22">
        <f t="shared" si="0"/>
        <v>1884.8565456108959</v>
      </c>
      <c r="H9" s="21"/>
      <c r="I9" s="10">
        <v>633.61800000000005</v>
      </c>
      <c r="J9" s="23">
        <f>IRR(I3:I9)</f>
        <v>-4.7822636698280352E-3</v>
      </c>
      <c r="K9" s="24">
        <f>G9/E3</f>
        <v>0.87830425503868992</v>
      </c>
    </row>
    <row r="10" spans="1:17" s="32" customFormat="1">
      <c r="A10" s="26">
        <v>8</v>
      </c>
      <c r="B10" s="27"/>
      <c r="C10" s="27"/>
      <c r="D10" s="27"/>
      <c r="E10" s="28">
        <f>-B3/(1+D3)^1+C3/(1+D3)+ C3/(1+D3)^2+C3/(1+D3)^3+ C3/(1+D3)^4+C3/(1+D3)^5+C3/(1+D3)^6+C3/(1+D3)^7</f>
        <v>-57.295515012536811</v>
      </c>
      <c r="F10" s="28">
        <f>C3/(1+D3)^7</f>
        <v>203.86571715434494</v>
      </c>
      <c r="G10" s="28">
        <f t="shared" si="0"/>
        <v>2088.7222627652409</v>
      </c>
      <c r="H10" s="29"/>
      <c r="I10" s="27">
        <v>633.61800000000005</v>
      </c>
      <c r="J10" s="30">
        <f>IRR(I3:I10)</f>
        <v>3.5562793876424692E-2</v>
      </c>
      <c r="K10" s="31">
        <f>G10/E3</f>
        <v>0.97330147233362307</v>
      </c>
    </row>
    <row r="11" spans="1:17" s="42" customFormat="1">
      <c r="A11" s="33">
        <v>9</v>
      </c>
      <c r="B11" s="34"/>
      <c r="C11" s="34"/>
      <c r="D11" s="34"/>
      <c r="E11" s="35">
        <f>-B3/(1+D3)^1+C3/(1+D3)+ C3/(1+D3)^2+C3/(1+D3)^3+ C3/(1+D3)^4+C3/(1+D3)^5+C3/(1+D3)^6+C3/(1+D3)^7+C3/(1+D3)^8</f>
        <v>123.91845579132536</v>
      </c>
      <c r="F11" s="36">
        <f>C3/(1+D3)^8</f>
        <v>181.21397080386217</v>
      </c>
      <c r="G11" s="36">
        <f t="shared" si="0"/>
        <v>2269.936233569103</v>
      </c>
      <c r="H11" s="37">
        <f>(1-(G10-E3)/F10)+8</f>
        <v>9.2810453656077883</v>
      </c>
      <c r="I11" s="38">
        <v>633.61800000000005</v>
      </c>
      <c r="J11" s="39">
        <f>IRR(I3:I11)</f>
        <v>6.4456908909706234E-2</v>
      </c>
      <c r="K11" s="40">
        <f>G11/E3</f>
        <v>1.0577434432624524</v>
      </c>
      <c r="L11" s="41"/>
    </row>
    <row r="12" spans="1:17">
      <c r="A12" s="13">
        <v>10</v>
      </c>
      <c r="B12" s="10"/>
      <c r="C12" s="10"/>
      <c r="D12" s="10"/>
      <c r="E12" s="14">
        <f>-B3/(1+D3)^1+C3/(1+D3)+C3/(1+D3)^2+C3/(1+D3)^3+C3/(1+D3)^4+C3/(1+D3)^5+C3/(1+D3)^6+C3/(1+D3)^7+C3/(1+D3)^8+C3/(1+D3)^9</f>
        <v>284.99754095031392</v>
      </c>
      <c r="F12" s="14">
        <f>C3/(1+D3)^9</f>
        <v>161.07908515898859</v>
      </c>
      <c r="G12" s="14">
        <f t="shared" si="0"/>
        <v>2431.0153187280916</v>
      </c>
      <c r="H12" s="10"/>
      <c r="I12" s="10">
        <v>633.61800000000005</v>
      </c>
      <c r="J12" s="15">
        <f>IRR(I3:I12)</f>
        <v>8.5690759880403311E-2</v>
      </c>
      <c r="K12" s="16">
        <f>G12/E3</f>
        <v>1.1328029729769675</v>
      </c>
    </row>
    <row r="13" spans="1:17">
      <c r="A13" s="13">
        <v>11</v>
      </c>
      <c r="B13" s="10"/>
      <c r="C13" s="10"/>
      <c r="D13" s="10"/>
      <c r="E13" s="14">
        <f>-B3/(1+D3)^1+C3/(1+D3)+ C3/(1+D3)^2+C3/(1+D3)^3+ C3/(1+D3)^4+C3/(1+D3)^5+C3/(1+D3)^6+C3/(1+D3)^7+C3/(1+D3)^8+C3/(1+D3)^9+C3/(1+D3)^10</f>
        <v>428.178949980526</v>
      </c>
      <c r="F13" s="14">
        <f>C3/(1+D3)^10</f>
        <v>143.18140903021208</v>
      </c>
      <c r="G13" s="14">
        <f t="shared" si="0"/>
        <v>2574.1967277583035</v>
      </c>
      <c r="H13" s="10"/>
      <c r="I13" s="10">
        <v>633.61800000000005</v>
      </c>
      <c r="J13" s="15">
        <f>IRR(I3:I13)</f>
        <v>0.10163205391542496</v>
      </c>
      <c r="K13" s="16">
        <f>G13/E3</f>
        <v>1.1995225549454251</v>
      </c>
    </row>
    <row r="14" spans="1:17">
      <c r="A14" s="13">
        <v>12</v>
      </c>
      <c r="B14" s="10"/>
      <c r="C14" s="10"/>
      <c r="D14" s="10"/>
      <c r="E14" s="14">
        <f>-B3/(1+D3)^1+C3/(1+D3)+ C3/(1+D3)^2+C3/(1+D3)^3+ C3/(1+D3)^4+C3/(1+D3)^5+C3/(1+D3)^6+C3/(1+D3)^7+C3/(1+D3)^8+C3/(1+D3)^9+C3/(1+D3)^10+C3/(1+D3)^11</f>
        <v>555.45131356293678</v>
      </c>
      <c r="F14" s="14">
        <f>C3/(1+D3)^11</f>
        <v>127.27236358241073</v>
      </c>
      <c r="G14" s="14">
        <f t="shared" si="0"/>
        <v>2701.4690913407144</v>
      </c>
      <c r="H14" s="10"/>
      <c r="I14" s="10">
        <v>633.61800000000005</v>
      </c>
      <c r="J14" s="15">
        <f>IRR(I3:I14)</f>
        <v>0.11381524778741881</v>
      </c>
      <c r="K14" s="16">
        <f>G14/E3</f>
        <v>1.2588288500284988</v>
      </c>
    </row>
    <row r="15" spans="1:17">
      <c r="A15" s="13">
        <v>13</v>
      </c>
      <c r="B15" s="10"/>
      <c r="C15" s="10"/>
      <c r="D15" s="10"/>
      <c r="E15" s="10">
        <f>-B3/(1+D3)^1+C3/(1+D3)+ C3/(1+D3)^2+C3/(1+D3)^3+ C3/(1+D3)^4+C3/(1+D3)^5+C3/(1+D3)^6+C3/(1+D3)^7+C3/(1+D3)^8+C3/(1+D3)^9+C3/(1+D3)^10+C3/(1+D3)^11+C3/(1+D3)^12</f>
        <v>668.58230341396859</v>
      </c>
      <c r="F15" s="14">
        <f>C3/(1+D3)^12</f>
        <v>113.13098985103177</v>
      </c>
      <c r="G15" s="14">
        <f t="shared" si="0"/>
        <v>2814.6000811917461</v>
      </c>
      <c r="H15" s="10"/>
      <c r="I15" s="10">
        <v>633.61800000000005</v>
      </c>
      <c r="J15" s="15">
        <f>IRR(I3:I15)</f>
        <v>0.12326711848916805</v>
      </c>
      <c r="K15" s="16">
        <f>G15/E3</f>
        <v>1.3115455567690086</v>
      </c>
    </row>
    <row r="16" spans="1:17">
      <c r="A16" s="13">
        <v>14</v>
      </c>
      <c r="B16" s="10"/>
      <c r="C16" s="10"/>
      <c r="D16" s="10"/>
      <c r="E16" s="14">
        <f>-B3/(1+D3)^1+C3/(1+D3)+C3/(1+D3)^2+C3/(1+D3)^3+ C3/(1+D3)^4+C3/(1+D3)^5+C3/(1+D3)^6+C3/(1+D3)^7+C3/(1+D3)^8+C3/(1+D3)^9+C3/(1+D3)^10+C3/(1+D3)^11+C3/(1+D3)^12+C3/(1+D3)^13</f>
        <v>769.14318328155241</v>
      </c>
      <c r="F16" s="14">
        <f>C3/(1+D3)^13</f>
        <v>100.56087986758379</v>
      </c>
      <c r="G16" s="14">
        <f t="shared" si="0"/>
        <v>2915.16096105933</v>
      </c>
      <c r="H16" s="10"/>
      <c r="I16" s="10">
        <v>633.61800000000005</v>
      </c>
      <c r="J16" s="15">
        <f>IRR(I3:I16)</f>
        <v>0.1306940257845608</v>
      </c>
      <c r="K16" s="16">
        <f>G16/E3</f>
        <v>1.358404851649462</v>
      </c>
    </row>
    <row r="17" spans="1:11">
      <c r="A17" s="13">
        <v>15</v>
      </c>
      <c r="B17" s="10"/>
      <c r="C17" s="10"/>
      <c r="D17" s="10"/>
      <c r="E17" s="14">
        <f>-B3/(1+D3)^1+C3/(1+D3)+ C3/(1+D3)^2+C3/(1+D3)^3+ C3/(1+D3)^4+C3/(1+D3)^5+C3/(1+D3)^6+C3/(1+D3)^7+C3/(1+D3)^8+C3/(1+D3)^9+C3/(1+D3)^10+C3/(1+D3)^11+C3/(1+D3)^12+C3/(1+D3)^13+C3/(1+D3)^14</f>
        <v>858.53063205273804</v>
      </c>
      <c r="F17" s="14">
        <f>C3/(1+D3)^14</f>
        <v>89.387448771185589</v>
      </c>
      <c r="G17" s="14">
        <f t="shared" si="0"/>
        <v>3004.5484098305155</v>
      </c>
      <c r="H17" s="10"/>
      <c r="I17" s="10">
        <v>633.61800000000005</v>
      </c>
      <c r="J17" s="15">
        <f>IRR(I3:I17)</f>
        <v>0.13659372904298794</v>
      </c>
      <c r="K17" s="16">
        <f>G17/E3</f>
        <v>1.4000575582098649</v>
      </c>
    </row>
    <row r="18" spans="1:11">
      <c r="A18" s="13">
        <v>16</v>
      </c>
      <c r="B18" s="10"/>
      <c r="C18" s="10"/>
      <c r="D18" s="10"/>
      <c r="E18" s="14">
        <f>-B3/(1+D3)^1+C3/(1+D3)+C3/(1+D3)^2+C3/(1+D3)^3+C3/(1+D3)^4+C3/(1+D3)^5+C3/(1+D3)^6+C3/(1+D3)^7+C3/(1+D3)^8+C3/(1+D3)^9+C3/(1+D3)^10+C3/(1+D3)^11+C3/(1+D3)^12+C3/(1+D3)^13+C3/(1+D3)^14+C3/(1+D3)^15</f>
        <v>937.9861420715697</v>
      </c>
      <c r="F18" s="14">
        <f>C3/(1+D3)^15</f>
        <v>79.455510018831646</v>
      </c>
      <c r="G18" s="14">
        <f t="shared" si="0"/>
        <v>3084.0039198493473</v>
      </c>
      <c r="H18" s="10"/>
      <c r="I18" s="10">
        <v>633.61800000000005</v>
      </c>
      <c r="J18" s="15">
        <f>IRR(I3:I18)</f>
        <v>0.14132442721488392</v>
      </c>
      <c r="K18" s="16">
        <f>G18/E3</f>
        <v>1.4370821862635563</v>
      </c>
    </row>
    <row r="19" spans="1:11">
      <c r="A19" s="13">
        <v>17</v>
      </c>
      <c r="B19" s="10"/>
      <c r="C19" s="10"/>
      <c r="D19" s="10"/>
      <c r="E19" s="14">
        <f>-B3/(1+D3)^1+C3/(1+D3)+ C3/(1+D3)^2+C3/(1+D3)^3+ C3/(1+D3)^4+C3/(1+D3)^5+C3/(1+D3)^6+C3/(1+D3)^7+C3/(1+D3)^8+C3/(1+D3)^9+C3/(1+D3)^10+C3/(1+D3)^11+C3/(1+D3)^12+C3/(1+D3)^13+C3/(1+D3)^14+C3/(1+D3)^15+C3/(1+D3)^16</f>
        <v>1008.6132620883089</v>
      </c>
      <c r="F19" s="14">
        <f>C3/(1+D3)^16</f>
        <v>70.627120016739241</v>
      </c>
      <c r="G19" s="14">
        <f t="shared" si="0"/>
        <v>3154.6310398660867</v>
      </c>
      <c r="H19" s="10"/>
      <c r="I19" s="10">
        <v>633.61800000000005</v>
      </c>
      <c r="J19" s="15">
        <f>IRR(I3:I19)</f>
        <v>0.14514867524093056</v>
      </c>
      <c r="K19" s="16">
        <f>G19/E3</f>
        <v>1.4699929667557265</v>
      </c>
    </row>
    <row r="20" spans="1:11">
      <c r="A20" s="13">
        <v>18</v>
      </c>
      <c r="B20" s="10"/>
      <c r="C20" s="10"/>
      <c r="D20" s="10"/>
      <c r="E20" s="14">
        <f>-B3/(1+D3)^1+C3/(1+D3)+ C3/(1+D3)^2+C3/(1+D3)^3+ C3/(1+D3)^4+C3/(1+D3)^5+C3/(1+D3)^6+C3/(1+D3)^7+C3/(1+D3)^8+C3/(1+D3)^9+C3/(1+D3)^10+C3/(1+D3)^11+C3/(1+D3)^12+C3/(1+D3)^13+C3/(1+D3)^14+C3/(1+D3)^15+C3/(1+D3)^16+C3/(1+D3)^17</f>
        <v>1071.3929243254106</v>
      </c>
      <c r="F20" s="14">
        <f>C3/(1+D3)^17</f>
        <v>62.779662237101547</v>
      </c>
      <c r="G20" s="14">
        <f t="shared" si="0"/>
        <v>3217.4107021031882</v>
      </c>
      <c r="H20" s="10"/>
      <c r="I20" s="10">
        <v>633.61800000000005</v>
      </c>
      <c r="J20" s="15">
        <f>IRR(I3:I20)</f>
        <v>0.14826206939249431</v>
      </c>
      <c r="K20" s="16">
        <f>G20/E3</f>
        <v>1.4992469938598778</v>
      </c>
    </row>
    <row r="21" spans="1:11">
      <c r="A21" s="13">
        <v>19</v>
      </c>
      <c r="B21" s="10"/>
      <c r="C21" s="10"/>
      <c r="D21" s="10"/>
      <c r="E21" s="14">
        <f>-B3/(1+D3)^1+C3/(1+D3)+ C3/(1+D3)^2+C3/(1+D3)^3+C3/(1+D3)^4+C3/(1+D3)^5+C3/(1+D3)^6+C3/(1+D3)^7+C3/(1+D3)^8+C3/(1+D3)^9+C3/(1+D3)^10+C3/(1+D3)^11+C3/(1+D3)^12+C3/(1+D3)^13+C3/(1+D3)^14+C3/(1+D3)^15+C3/(1+D3)^16+C3/(1+D3)^17+C3/(1+D3)^18</f>
        <v>1127.1970685361675</v>
      </c>
      <c r="F21" s="14">
        <f>C3/(1+D3)^18</f>
        <v>55.804144210756924</v>
      </c>
      <c r="G21" s="14">
        <f t="shared" si="0"/>
        <v>3273.2148463139451</v>
      </c>
      <c r="H21" s="10"/>
      <c r="I21" s="10">
        <v>633.61800000000005</v>
      </c>
      <c r="J21" s="15">
        <f>IRR(I3:I21)</f>
        <v>0.15081243224178875</v>
      </c>
      <c r="K21" s="16">
        <f>G21/E3</f>
        <v>1.5252505735080122</v>
      </c>
    </row>
    <row r="22" spans="1:11">
      <c r="A22" s="13">
        <v>20</v>
      </c>
      <c r="B22" s="10"/>
      <c r="C22" s="10"/>
      <c r="D22" s="10"/>
      <c r="E22" s="14">
        <f>-B3/(1+D3)^1+C3/(1+D3)+ C3/(1+D3)^2+C3/(1+D3)^3+ C3/(1+D3)^4+C3/(1+D3)^5+C3/(1+D3)^6+C3/(1+D3)^7+C3/(1+D3)^8+C3/(1+D3)^9+C3/(1+D3)^10+C3/(1+D3)^11+C3/(1+D3)^12+C3/(1+D3)^13+C3/(1+D3)^14+C3/(1+D3)^15+C3/(1+D3)^16+C3/(1+D3)^17+C3/(1+D3)^18+C3/(1+D3)^19</f>
        <v>1176.8007522790626</v>
      </c>
      <c r="F22" s="14">
        <f>C3/(1+D3)^19</f>
        <v>49.603683742895051</v>
      </c>
      <c r="G22" s="14">
        <f t="shared" si="0"/>
        <v>3322.8185300568402</v>
      </c>
      <c r="H22" s="10"/>
      <c r="I22" s="10">
        <v>633.61800000000005</v>
      </c>
      <c r="J22" s="15">
        <f>IRR(I3:I22)</f>
        <v>0.15291291822075048</v>
      </c>
      <c r="K22" s="16">
        <f>G22/E3</f>
        <v>1.5483648665285761</v>
      </c>
    </row>
    <row r="23" spans="1:11" s="50" customFormat="1">
      <c r="A23" s="43">
        <v>21</v>
      </c>
      <c r="B23" s="44"/>
      <c r="C23" s="44"/>
      <c r="D23" s="44"/>
      <c r="E23" s="45">
        <f>-B3/(1+D3)^1+C3/(1+D3)+ C3/(1+D3)^2+C3/(1+D3)^3+ C3/(1+D3)^4+C3/(1+D3)^5+C3/(1+D3)^6+C3/(1+D3)^7+C3/(1+D3)^8+C3/(1+D3)^9+C3/(1+D3)^10+C3/(1+D3)^11+C3/(1+D3)^12+C3/(1+D3)^13+C3/(1+D3)^14+C3/(1+D3)^15+C3/(1+D3)^16+C3/(1+D3)^17+C3/(1+D3)^18+C3/(1+D3)^19+C3/(1+D3)^19</f>
        <v>1226.4044360219577</v>
      </c>
      <c r="F23" s="46">
        <f>C3/(1+D3)^20</f>
        <v>44.092163327017815</v>
      </c>
      <c r="G23" s="46">
        <f t="shared" si="0"/>
        <v>3366.910693383858</v>
      </c>
      <c r="H23" s="44"/>
      <c r="I23" s="47">
        <v>633.61800000000005</v>
      </c>
      <c r="J23" s="48">
        <f>IRR(I3:I23)</f>
        <v>0.15465113833201016</v>
      </c>
      <c r="K23" s="49">
        <f>G23/E3</f>
        <v>1.5689109047690775</v>
      </c>
    </row>
  </sheetData>
  <mergeCells count="2">
    <mergeCell ref="A1:K1"/>
    <mergeCell ref="P3:Q3"/>
  </mergeCells>
  <phoneticPr fontId="0" type="noConversion"/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приклад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І. Луценко</dc:creator>
  <cp:lastModifiedBy>User</cp:lastModifiedBy>
  <cp:lastPrinted>2018-06-15T07:10:28Z</cp:lastPrinted>
  <dcterms:created xsi:type="dcterms:W3CDTF">2013-09-19T08:37:06Z</dcterms:created>
  <dcterms:modified xsi:type="dcterms:W3CDTF">2018-06-15T07:38:06Z</dcterms:modified>
</cp:coreProperties>
</file>